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uredinvestmentcorp2.sharepoint.com/sites/theleearnoldteam/Shared Documents/Properties/RE Offers/24 E 6th St, Deer Park/"/>
    </mc:Choice>
  </mc:AlternateContent>
  <xr:revisionPtr revIDLastSave="4" documentId="8_{C2F4BD04-81EA-4706-A5CA-52EE461CE070}" xr6:coauthVersionLast="46" xr6:coauthVersionMax="46" xr10:uidLastSave="{B6D7AFC9-24DF-4FFD-AE4B-9A5CA9039BDF}"/>
  <bookViews>
    <workbookView xWindow="-28920" yWindow="-5070" windowWidth="29040" windowHeight="15840" xr2:uid="{18CF8DE8-78A3-4B7F-99A5-80530489F641}"/>
  </bookViews>
  <sheets>
    <sheet name="Sheet1" sheetId="1" r:id="rId1"/>
    <sheet name="Sheet1 (2)" sheetId="2" r:id="rId2"/>
  </sheets>
  <definedNames>
    <definedName name="_xlnm.Print_Area" localSheetId="0">Sheet1!$A$1:$C$47</definedName>
    <definedName name="_xlnm.Print_Area" localSheetId="1">'Sheet1 (2)'!$A$1:$D$32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G6" i="1"/>
  <c r="C34" i="1"/>
  <c r="C39" i="1"/>
  <c r="C18" i="1" l="1"/>
  <c r="H6" i="1" l="1"/>
  <c r="C23" i="2"/>
  <c r="G15" i="2"/>
  <c r="H5" i="2"/>
  <c r="C41" i="1" l="1"/>
  <c r="C43" i="1" s="1"/>
  <c r="C27" i="2" l="1"/>
  <c r="C17" i="2"/>
  <c r="G14" i="2" s="1"/>
  <c r="H14" i="2"/>
  <c r="C9" i="2"/>
  <c r="G31" i="2" l="1"/>
  <c r="G13" i="2"/>
  <c r="C13" i="2"/>
  <c r="C20" i="2" s="1"/>
  <c r="C29" i="2" s="1"/>
  <c r="H17" i="1"/>
  <c r="G17" i="1" l="1"/>
  <c r="G16" i="2"/>
  <c r="H13" i="2"/>
  <c r="H16" i="2" s="1"/>
  <c r="C31" i="2" s="1"/>
  <c r="C16" i="1"/>
  <c r="G41" i="1" s="1"/>
  <c r="C22" i="1" l="1"/>
  <c r="G18" i="1"/>
  <c r="G16" i="1"/>
  <c r="H16" i="1" s="1"/>
  <c r="C36" i="1" l="1"/>
  <c r="C45" i="1" s="1"/>
  <c r="G19" i="1"/>
  <c r="H19" i="1"/>
  <c r="C47" i="1" s="1"/>
  <c r="B45" i="1" l="1"/>
</calcChain>
</file>

<file path=xl/sharedStrings.xml><?xml version="1.0" encoding="utf-8"?>
<sst xmlns="http://schemas.openxmlformats.org/spreadsheetml/2006/main" count="91" uniqueCount="50">
  <si>
    <t>Lee Arnold Team</t>
  </si>
  <si>
    <t>Purchase Price Calculator</t>
  </si>
  <si>
    <t>Is the Property Occupied?</t>
  </si>
  <si>
    <t>No</t>
  </si>
  <si>
    <t>Is there a Mortgage Wrap?</t>
  </si>
  <si>
    <t>per Sq Ft Cost</t>
  </si>
  <si>
    <t>% of Cost</t>
  </si>
  <si>
    <t>Yes</t>
  </si>
  <si>
    <t>A. Override</t>
  </si>
  <si>
    <t>After Repaired Value</t>
  </si>
  <si>
    <t>B. Low-Rehab</t>
  </si>
  <si>
    <t>C. Mid-Rehab</t>
  </si>
  <si>
    <t>Mortgage Payoff</t>
  </si>
  <si>
    <t>D. Hi-Rehab</t>
  </si>
  <si>
    <t xml:space="preserve">Need to go through old SOWs and put an estimate for cost per square feet based on actuals.  </t>
  </si>
  <si>
    <t>Monthly Mortgage Payments</t>
  </si>
  <si>
    <t>Number of Months to pay Mortgage</t>
  </si>
  <si>
    <t>Purchase Price (Cash Needed at Closing)</t>
  </si>
  <si>
    <t>% of Purchase</t>
  </si>
  <si>
    <t>Closing Costs To Purchase (2.5%)</t>
  </si>
  <si>
    <t>Purchase Costs</t>
  </si>
  <si>
    <t>Rehab Costs</t>
  </si>
  <si>
    <t>Cost to Evict</t>
  </si>
  <si>
    <t>Closing Costs</t>
  </si>
  <si>
    <t>Assignment Fee/Buyer Fee/Finders Fee</t>
  </si>
  <si>
    <t>Cost Basis</t>
  </si>
  <si>
    <t>Total Sq Ft</t>
  </si>
  <si>
    <t>Rehab Level</t>
  </si>
  <si>
    <t>Rehab (Override)</t>
  </si>
  <si>
    <t>Borrowing Purchase Funds?</t>
  </si>
  <si>
    <t>Interest Rate</t>
  </si>
  <si>
    <t>Number of Months</t>
  </si>
  <si>
    <t>Loan Amount (PP + Rehab)</t>
  </si>
  <si>
    <t>State</t>
  </si>
  <si>
    <t>Est. Closing Costs</t>
  </si>
  <si>
    <t>Interest Expense</t>
  </si>
  <si>
    <t>Idaho (No Excise Tax)</t>
  </si>
  <si>
    <t>Washington</t>
  </si>
  <si>
    <t>Adjusted Cost Basis</t>
  </si>
  <si>
    <t>Override</t>
  </si>
  <si>
    <t>ARV</t>
  </si>
  <si>
    <t>Sale Price</t>
  </si>
  <si>
    <t xml:space="preserve">Closing Costs to Sale </t>
  </si>
  <si>
    <t>Total Costs</t>
  </si>
  <si>
    <t>Net Sale Price (Net Mortgage Payoff)</t>
  </si>
  <si>
    <t>ROI (Goal is 21%)</t>
  </si>
  <si>
    <t>Suggested Purchase Price (Range)</t>
  </si>
  <si>
    <t>Purchase Price</t>
  </si>
  <si>
    <t>Net Sale Price</t>
  </si>
  <si>
    <t>24 E 6th St, Deer Park 99006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</si>
</sst>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DED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9" fontId="0" fillId="0" borderId="0" xfId="3" applyFont="1"/>
    <xf numFmtId="43" fontId="0" fillId="0" borderId="0" xfId="1" applyFont="1"/>
    <xf numFmtId="10" fontId="0" fillId="3" borderId="0" xfId="3" applyNumberFormat="1" applyFont="1" applyFill="1"/>
    <xf numFmtId="43" fontId="0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3" fontId="0" fillId="4" borderId="1" xfId="1" applyFont="1" applyFill="1" applyBorder="1" applyProtection="1">
      <protection locked="0"/>
    </xf>
    <xf numFmtId="44" fontId="2" fillId="2" borderId="1" xfId="2" applyFont="1" applyFill="1" applyBorder="1" applyProtection="1">
      <protection locked="0"/>
    </xf>
    <xf numFmtId="164" fontId="0" fillId="2" borderId="1" xfId="3" applyNumberFormat="1" applyFont="1" applyFill="1" applyBorder="1" applyProtection="1">
      <protection locked="0"/>
    </xf>
    <xf numFmtId="43" fontId="0" fillId="3" borderId="1" xfId="1" applyFont="1" applyFill="1" applyBorder="1"/>
    <xf numFmtId="43" fontId="0" fillId="0" borderId="0" xfId="0" applyNumberFormat="1"/>
    <xf numFmtId="0" fontId="3" fillId="0" borderId="0" xfId="0" applyFont="1"/>
    <xf numFmtId="43" fontId="0" fillId="0" borderId="2" xfId="1" applyFont="1" applyFill="1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43" fontId="0" fillId="0" borderId="3" xfId="0" applyNumberFormat="1" applyBorder="1"/>
    <xf numFmtId="10" fontId="0" fillId="0" borderId="3" xfId="3" applyNumberFormat="1" applyFont="1" applyBorder="1"/>
    <xf numFmtId="164" fontId="0" fillId="0" borderId="3" xfId="3" applyNumberFormat="1" applyFont="1" applyBorder="1"/>
    <xf numFmtId="0" fontId="0" fillId="0" borderId="0" xfId="0" applyAlignment="1">
      <alignment horizontal="center" vertical="center"/>
    </xf>
    <xf numFmtId="9" fontId="0" fillId="0" borderId="3" xfId="3" applyFont="1" applyBorder="1"/>
    <xf numFmtId="9" fontId="0" fillId="0" borderId="3" xfId="0" applyNumberFormat="1" applyBorder="1"/>
    <xf numFmtId="0" fontId="0" fillId="0" borderId="3" xfId="0" applyBorder="1" applyAlignment="1">
      <alignment horizontal="center"/>
    </xf>
    <xf numFmtId="43" fontId="0" fillId="0" borderId="0" xfId="1" applyFont="1" applyFill="1"/>
    <xf numFmtId="43" fontId="0" fillId="0" borderId="0" xfId="1" applyFont="1" applyFill="1" applyBorder="1" applyProtection="1">
      <protection locked="0"/>
    </xf>
    <xf numFmtId="44" fontId="2" fillId="0" borderId="0" xfId="2" applyFont="1" applyFill="1" applyBorder="1" applyProtection="1">
      <protection locked="0"/>
    </xf>
    <xf numFmtId="10" fontId="0" fillId="0" borderId="0" xfId="3" applyNumberFormat="1" applyFont="1" applyFill="1"/>
    <xf numFmtId="43" fontId="0" fillId="0" borderId="0" xfId="1" applyFont="1" applyFill="1" applyBorder="1"/>
    <xf numFmtId="9" fontId="0" fillId="0" borderId="0" xfId="0" applyNumberFormat="1"/>
    <xf numFmtId="9" fontId="0" fillId="2" borderId="1" xfId="3" applyFont="1" applyFill="1" applyBorder="1"/>
    <xf numFmtId="0" fontId="0" fillId="0" borderId="0" xfId="0" applyProtection="1"/>
    <xf numFmtId="43" fontId="0" fillId="0" borderId="0" xfId="1" applyFont="1" applyProtection="1"/>
    <xf numFmtId="43" fontId="0" fillId="0" borderId="0" xfId="1" applyFont="1" applyFill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43" fontId="0" fillId="0" borderId="0" xfId="1" applyFont="1" applyFill="1" applyBorder="1" applyProtection="1"/>
    <xf numFmtId="43" fontId="0" fillId="0" borderId="3" xfId="0" applyNumberFormat="1" applyBorder="1" applyProtection="1"/>
    <xf numFmtId="10" fontId="0" fillId="0" borderId="3" xfId="3" applyNumberFormat="1" applyFont="1" applyBorder="1" applyProtection="1"/>
    <xf numFmtId="164" fontId="0" fillId="0" borderId="3" xfId="3" applyNumberFormat="1" applyFont="1" applyBorder="1" applyProtection="1"/>
    <xf numFmtId="44" fontId="2" fillId="0" borderId="0" xfId="2" applyFont="1" applyFill="1" applyBorder="1" applyProtection="1"/>
    <xf numFmtId="0" fontId="0" fillId="0" borderId="0" xfId="0" applyAlignment="1" applyProtection="1">
      <alignment horizontal="center" vertical="center"/>
    </xf>
    <xf numFmtId="9" fontId="0" fillId="0" borderId="3" xfId="3" applyFont="1" applyBorder="1" applyProtection="1"/>
    <xf numFmtId="9" fontId="0" fillId="0" borderId="3" xfId="0" applyNumberFormat="1" applyBorder="1" applyProtection="1"/>
    <xf numFmtId="9" fontId="0" fillId="0" borderId="0" xfId="0" applyNumberFormat="1" applyProtection="1"/>
    <xf numFmtId="10" fontId="0" fillId="3" borderId="0" xfId="3" applyNumberFormat="1" applyFont="1" applyFill="1" applyProtection="1"/>
    <xf numFmtId="10" fontId="0" fillId="0" borderId="0" xfId="3" applyNumberFormat="1" applyFont="1" applyFill="1" applyProtection="1"/>
    <xf numFmtId="43" fontId="0" fillId="0" borderId="0" xfId="0" applyNumberFormat="1" applyProtection="1"/>
    <xf numFmtId="43" fontId="0" fillId="0" borderId="2" xfId="1" applyFont="1" applyFill="1" applyBorder="1" applyProtection="1"/>
    <xf numFmtId="43" fontId="0" fillId="3" borderId="1" xfId="1" applyFont="1" applyFill="1" applyBorder="1" applyProtection="1"/>
    <xf numFmtId="9" fontId="0" fillId="2" borderId="1" xfId="3" applyFont="1" applyFill="1" applyBorder="1" applyProtection="1">
      <protection locked="0"/>
    </xf>
    <xf numFmtId="43" fontId="0" fillId="0" borderId="0" xfId="1" applyFont="1" applyProtection="1">
      <protection locked="0"/>
    </xf>
    <xf numFmtId="43" fontId="0" fillId="0" borderId="3" xfId="3" applyNumberFormat="1" applyFont="1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4" fillId="0" borderId="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right" vertical="center"/>
    </xf>
    <xf numFmtId="43" fontId="5" fillId="2" borderId="1" xfId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/>
    <xf numFmtId="44" fontId="5" fillId="0" borderId="0" xfId="2" applyFont="1" applyProtection="1"/>
    <xf numFmtId="0" fontId="0" fillId="0" borderId="0" xfId="0" quotePrefix="1" applyFill="1" applyBorder="1" applyAlignment="1" applyProtection="1">
      <alignment horizontal="left"/>
    </xf>
    <xf numFmtId="43" fontId="7" fillId="0" borderId="0" xfId="1" applyFont="1" applyProtection="1"/>
    <xf numFmtId="0" fontId="2" fillId="0" borderId="0" xfId="0" applyFont="1" applyAlignment="1" applyProtection="1">
      <alignment horizontal="left"/>
    </xf>
    <xf numFmtId="43" fontId="5" fillId="0" borderId="6" xfId="1" applyFont="1" applyFill="1" applyBorder="1" applyAlignment="1" applyProtection="1">
      <alignment horizontal="right"/>
    </xf>
    <xf numFmtId="43" fontId="0" fillId="0" borderId="5" xfId="1" applyFont="1" applyFill="1" applyBorder="1" applyProtection="1"/>
    <xf numFmtId="43" fontId="6" fillId="0" borderId="0" xfId="0" quotePrefix="1" applyNumberFormat="1" applyFont="1" applyProtection="1"/>
    <xf numFmtId="0" fontId="2" fillId="2" borderId="6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D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645CE-CA16-43FA-91B4-83293701CA62}">
  <sheetPr>
    <pageSetUpPr fitToPage="1"/>
  </sheetPr>
  <dimension ref="A1:Q47"/>
  <sheetViews>
    <sheetView showGridLines="0" tabSelected="1" zoomScaleNormal="100" workbookViewId="0">
      <selection activeCell="A2" sqref="A2:C2"/>
    </sheetView>
  </sheetViews>
  <sheetFormatPr defaultRowHeight="14.5" x14ac:dyDescent="0.35"/>
  <cols>
    <col min="1" max="1" width="40" style="29" customWidth="1"/>
    <col min="2" max="2" width="19.54296875" style="29" customWidth="1"/>
    <col min="3" max="3" width="20.1796875" style="30" customWidth="1"/>
    <col min="4" max="4" width="17.1796875" style="31" customWidth="1"/>
    <col min="5" max="5" width="5.453125" style="29" customWidth="1"/>
    <col min="6" max="6" width="19.54296875" style="29" customWidth="1"/>
    <col min="7" max="7" width="13" style="29" customWidth="1"/>
    <col min="8" max="8" width="13" style="29" bestFit="1" customWidth="1"/>
    <col min="9" max="16" width="8.81640625" style="29"/>
  </cols>
  <sheetData>
    <row r="1" spans="1:17" ht="29.25" customHeight="1" thickBot="1" x14ac:dyDescent="0.4">
      <c r="A1" s="54" t="s">
        <v>0</v>
      </c>
      <c r="B1" s="53"/>
      <c r="C1" s="55" t="s">
        <v>1</v>
      </c>
      <c r="I1" s="29">
        <v>123456</v>
      </c>
      <c r="Q1" s="29"/>
    </row>
    <row r="2" spans="1:17" ht="35.25" customHeight="1" thickBot="1" x14ac:dyDescent="0.4">
      <c r="A2" s="65" t="s">
        <v>49</v>
      </c>
      <c r="B2" s="65"/>
      <c r="C2" s="65"/>
      <c r="Q2" s="29"/>
    </row>
    <row r="3" spans="1:17" ht="19" thickBot="1" x14ac:dyDescent="0.5">
      <c r="A3" s="61"/>
      <c r="Q3" s="29"/>
    </row>
    <row r="4" spans="1:17" ht="19" thickBot="1" x14ac:dyDescent="0.5">
      <c r="A4" s="61" t="s">
        <v>2</v>
      </c>
      <c r="C4" s="56" t="s">
        <v>3</v>
      </c>
      <c r="Q4" s="29"/>
    </row>
    <row r="5" spans="1:17" ht="19" thickBot="1" x14ac:dyDescent="0.5">
      <c r="A5" s="61" t="s">
        <v>4</v>
      </c>
      <c r="C5" s="56" t="s">
        <v>3</v>
      </c>
      <c r="F5" s="32"/>
      <c r="G5" s="33" t="s">
        <v>5</v>
      </c>
      <c r="H5" s="34" t="s">
        <v>6</v>
      </c>
      <c r="J5" s="29" t="s">
        <v>7</v>
      </c>
      <c r="Q5" s="29"/>
    </row>
    <row r="6" spans="1:17" ht="19" thickBot="1" x14ac:dyDescent="0.5">
      <c r="A6" s="61"/>
      <c r="C6" s="62"/>
      <c r="F6" s="32" t="s">
        <v>8</v>
      </c>
      <c r="G6" s="36">
        <f>B27</f>
        <v>0</v>
      </c>
      <c r="H6" s="51">
        <f>B27/C7</f>
        <v>0</v>
      </c>
      <c r="J6" s="29" t="s">
        <v>3</v>
      </c>
      <c r="Q6" s="29"/>
    </row>
    <row r="7" spans="1:17" ht="15" thickBot="1" x14ac:dyDescent="0.4">
      <c r="A7" s="29" t="s">
        <v>9</v>
      </c>
      <c r="C7" s="4">
        <v>199900</v>
      </c>
      <c r="D7" s="35"/>
      <c r="F7" s="32" t="s">
        <v>10</v>
      </c>
      <c r="G7" s="32">
        <v>15</v>
      </c>
      <c r="H7" s="38">
        <v>0.04</v>
      </c>
      <c r="Q7" s="29"/>
    </row>
    <row r="8" spans="1:17" ht="15" thickBot="1" x14ac:dyDescent="0.4">
      <c r="C8" s="35"/>
      <c r="D8" s="35"/>
      <c r="F8" s="32" t="s">
        <v>11</v>
      </c>
      <c r="G8" s="32">
        <v>30</v>
      </c>
      <c r="H8" s="38">
        <v>4.4999999999999998E-2</v>
      </c>
      <c r="Q8" s="29"/>
    </row>
    <row r="9" spans="1:17" ht="15" thickBot="1" x14ac:dyDescent="0.4">
      <c r="A9" s="29" t="s">
        <v>12</v>
      </c>
      <c r="C9" s="4">
        <v>0</v>
      </c>
      <c r="D9" s="35"/>
      <c r="F9" s="32" t="s">
        <v>13</v>
      </c>
      <c r="G9" s="32">
        <v>45</v>
      </c>
      <c r="H9" s="38">
        <v>5.5E-2</v>
      </c>
      <c r="Q9" s="29"/>
    </row>
    <row r="10" spans="1:17" ht="15" thickBot="1" x14ac:dyDescent="0.4">
      <c r="F10" s="29" t="s">
        <v>14</v>
      </c>
      <c r="Q10" s="29"/>
    </row>
    <row r="11" spans="1:17" ht="15" thickBot="1" x14ac:dyDescent="0.4">
      <c r="A11" s="29" t="s">
        <v>15</v>
      </c>
      <c r="C11" s="4">
        <v>0</v>
      </c>
      <c r="D11" s="35"/>
      <c r="Q11" s="29"/>
    </row>
    <row r="12" spans="1:17" ht="15" thickBot="1" x14ac:dyDescent="0.4">
      <c r="A12" s="29" t="s">
        <v>16</v>
      </c>
      <c r="C12" s="4">
        <v>0</v>
      </c>
      <c r="D12" s="35"/>
      <c r="Q12" s="29"/>
    </row>
    <row r="13" spans="1:17" ht="15" thickBot="1" x14ac:dyDescent="0.4">
      <c r="Q13" s="29"/>
    </row>
    <row r="14" spans="1:17" ht="19" thickBot="1" x14ac:dyDescent="0.5">
      <c r="A14" s="29" t="s">
        <v>17</v>
      </c>
      <c r="C14" s="7">
        <v>129900</v>
      </c>
      <c r="D14" s="39"/>
      <c r="Q14" s="29"/>
    </row>
    <row r="15" spans="1:17" x14ac:dyDescent="0.35">
      <c r="G15" s="40" t="s">
        <v>6</v>
      </c>
      <c r="H15" s="40" t="s">
        <v>18</v>
      </c>
      <c r="Q15" s="29"/>
    </row>
    <row r="16" spans="1:17" x14ac:dyDescent="0.35">
      <c r="A16" s="29" t="s">
        <v>19</v>
      </c>
      <c r="B16" s="8">
        <v>0.03</v>
      </c>
      <c r="C16" s="30">
        <f>B16*C14</f>
        <v>3897</v>
      </c>
      <c r="F16" s="32" t="s">
        <v>20</v>
      </c>
      <c r="G16" s="41">
        <f>(C16+C20)/C7</f>
        <v>1.9494747373686845E-2</v>
      </c>
      <c r="H16" s="42">
        <f>G16/2</f>
        <v>9.7473736868434226E-3</v>
      </c>
      <c r="Q16" s="29"/>
    </row>
    <row r="17" spans="1:17" x14ac:dyDescent="0.35">
      <c r="F17" s="32" t="s">
        <v>21</v>
      </c>
      <c r="G17" s="41">
        <f>C26/C7</f>
        <v>4.3221610805402703E-2</v>
      </c>
      <c r="H17" s="37">
        <f>VLOOKUP(B26,F6:H9,3)</f>
        <v>0.04</v>
      </c>
      <c r="Q17" s="29"/>
    </row>
    <row r="18" spans="1:17" x14ac:dyDescent="0.35">
      <c r="A18" s="29" t="s">
        <v>22</v>
      </c>
      <c r="C18" s="35">
        <f>IF(C4=J5,5000,0)</f>
        <v>0</v>
      </c>
      <c r="D18" s="35"/>
      <c r="F18" s="32" t="s">
        <v>23</v>
      </c>
      <c r="G18" s="41">
        <f>C41/C7</f>
        <v>0.11</v>
      </c>
      <c r="H18" s="41">
        <v>0.17</v>
      </c>
      <c r="Q18" s="29"/>
    </row>
    <row r="19" spans="1:17" ht="15" thickBot="1" x14ac:dyDescent="0.4">
      <c r="C19" s="63"/>
      <c r="D19" s="35"/>
      <c r="F19" s="32"/>
      <c r="G19" s="42">
        <f>SUM(G16:G18)</f>
        <v>0.17271635817908954</v>
      </c>
      <c r="H19" s="42">
        <f>SUM(H16:H18)</f>
        <v>0.21974737368684344</v>
      </c>
      <c r="Q19" s="29"/>
    </row>
    <row r="20" spans="1:17" ht="15" thickBot="1" x14ac:dyDescent="0.4">
      <c r="A20" s="29" t="s">
        <v>24</v>
      </c>
      <c r="C20" s="4">
        <v>0</v>
      </c>
      <c r="D20" s="35"/>
      <c r="Q20" s="29"/>
    </row>
    <row r="21" spans="1:17" x14ac:dyDescent="0.35">
      <c r="B21" s="30"/>
      <c r="Q21" s="29"/>
    </row>
    <row r="22" spans="1:17" x14ac:dyDescent="0.35">
      <c r="A22" s="29" t="s">
        <v>25</v>
      </c>
      <c r="C22" s="30">
        <f>C14+C16+C20+C18+(C11*C12)</f>
        <v>133797</v>
      </c>
      <c r="Q22" s="29"/>
    </row>
    <row r="23" spans="1:17" ht="15" thickBot="1" x14ac:dyDescent="0.4">
      <c r="Q23" s="29"/>
    </row>
    <row r="24" spans="1:17" ht="15" thickBot="1" x14ac:dyDescent="0.4">
      <c r="A24" s="29" t="s">
        <v>26</v>
      </c>
      <c r="C24" s="4">
        <v>576</v>
      </c>
      <c r="D24" s="35"/>
      <c r="Q24" s="29"/>
    </row>
    <row r="25" spans="1:17" ht="15" thickBot="1" x14ac:dyDescent="0.4">
      <c r="Q25" s="29"/>
    </row>
    <row r="26" spans="1:17" ht="16.5" customHeight="1" thickBot="1" x14ac:dyDescent="0.4">
      <c r="A26" s="29" t="s">
        <v>27</v>
      </c>
      <c r="B26" s="52" t="s">
        <v>10</v>
      </c>
      <c r="C26" s="60">
        <f>IF(B26=F6,B27,LOOKUP(B26,F7:G9)*C24)</f>
        <v>8640</v>
      </c>
      <c r="Q26" s="29"/>
    </row>
    <row r="27" spans="1:17" ht="16.5" customHeight="1" thickBot="1" x14ac:dyDescent="0.4">
      <c r="A27" s="29" t="s">
        <v>28</v>
      </c>
      <c r="B27" s="4"/>
      <c r="Q27" s="29"/>
    </row>
    <row r="28" spans="1:17" ht="16.5" customHeight="1" thickBot="1" x14ac:dyDescent="0.4">
      <c r="B28" s="57"/>
      <c r="Q28" s="29"/>
    </row>
    <row r="29" spans="1:17" ht="15" thickBot="1" x14ac:dyDescent="0.4">
      <c r="A29" s="57" t="s">
        <v>29</v>
      </c>
      <c r="B29" s="57"/>
      <c r="C29" s="56" t="s">
        <v>3</v>
      </c>
      <c r="Q29" s="29"/>
    </row>
    <row r="30" spans="1:17" ht="15" thickBot="1" x14ac:dyDescent="0.4">
      <c r="B30" s="57"/>
      <c r="Q30" s="29"/>
    </row>
    <row r="31" spans="1:17" ht="15" thickBot="1" x14ac:dyDescent="0.4">
      <c r="A31" s="57" t="s">
        <v>30</v>
      </c>
      <c r="B31" s="8"/>
      <c r="Q31" s="29"/>
    </row>
    <row r="32" spans="1:17" ht="15" thickBot="1" x14ac:dyDescent="0.4">
      <c r="A32" s="57" t="s">
        <v>31</v>
      </c>
      <c r="B32" s="4"/>
      <c r="Q32" s="29"/>
    </row>
    <row r="33" spans="1:17" x14ac:dyDescent="0.35">
      <c r="A33" s="57" t="s">
        <v>32</v>
      </c>
      <c r="B33" s="35"/>
      <c r="F33" s="29" t="s">
        <v>33</v>
      </c>
      <c r="G33" s="29" t="s">
        <v>34</v>
      </c>
      <c r="Q33" s="29"/>
    </row>
    <row r="34" spans="1:17" x14ac:dyDescent="0.35">
      <c r="A34" s="59" t="s">
        <v>35</v>
      </c>
      <c r="B34" s="35"/>
      <c r="C34" s="30">
        <f>B33*(B31/12)*B32</f>
        <v>0</v>
      </c>
      <c r="F34" s="29" t="s">
        <v>36</v>
      </c>
      <c r="G34" s="43">
        <v>0.09</v>
      </c>
      <c r="Q34" s="29"/>
    </row>
    <row r="35" spans="1:17" x14ac:dyDescent="0.35">
      <c r="F35" s="29" t="s">
        <v>37</v>
      </c>
      <c r="G35" s="43">
        <v>0.11</v>
      </c>
      <c r="Q35" s="29"/>
    </row>
    <row r="36" spans="1:17" x14ac:dyDescent="0.35">
      <c r="A36" s="29" t="s">
        <v>38</v>
      </c>
      <c r="C36" s="58">
        <f>+C22+C26+C34</f>
        <v>142437</v>
      </c>
      <c r="Q36" s="29"/>
    </row>
    <row r="37" spans="1:17" x14ac:dyDescent="0.35">
      <c r="Q37" s="29"/>
    </row>
    <row r="38" spans="1:17" ht="15" thickBot="1" x14ac:dyDescent="0.4">
      <c r="B38" s="29" t="s">
        <v>39</v>
      </c>
      <c r="C38" s="30" t="s">
        <v>40</v>
      </c>
      <c r="Q38" s="29"/>
    </row>
    <row r="39" spans="1:17" ht="15" thickBot="1" x14ac:dyDescent="0.4">
      <c r="A39" s="29" t="s">
        <v>41</v>
      </c>
      <c r="B39" s="6"/>
      <c r="C39" s="30">
        <f>IF(B39&gt;0,B39,C7)</f>
        <v>199900</v>
      </c>
      <c r="Q39" s="29"/>
    </row>
    <row r="40" spans="1:17" ht="15" thickBot="1" x14ac:dyDescent="0.4">
      <c r="F40" s="46"/>
      <c r="Q40" s="29"/>
    </row>
    <row r="41" spans="1:17" ht="15" thickBot="1" x14ac:dyDescent="0.4">
      <c r="A41" s="29" t="s">
        <v>42</v>
      </c>
      <c r="B41" s="49" t="s">
        <v>37</v>
      </c>
      <c r="C41" s="30">
        <f>VLOOKUP(B41,F34:G35,2)*C39</f>
        <v>21989</v>
      </c>
      <c r="F41" s="46"/>
      <c r="G41" s="46">
        <f>C7-(C9+C16+C20+C41+C26)</f>
        <v>165374</v>
      </c>
      <c r="H41" s="46" t="s">
        <v>43</v>
      </c>
      <c r="Q41" s="29"/>
    </row>
    <row r="42" spans="1:17" x14ac:dyDescent="0.35">
      <c r="F42" s="46"/>
      <c r="G42" s="46"/>
      <c r="Q42" s="29"/>
    </row>
    <row r="43" spans="1:17" x14ac:dyDescent="0.35">
      <c r="A43" s="29" t="s">
        <v>44</v>
      </c>
      <c r="C43" s="30">
        <f>C39-C41-C9</f>
        <v>177911</v>
      </c>
      <c r="F43" s="46"/>
      <c r="Q43" s="29"/>
    </row>
    <row r="44" spans="1:17" x14ac:dyDescent="0.35">
      <c r="Q44" s="29"/>
    </row>
    <row r="45" spans="1:17" x14ac:dyDescent="0.35">
      <c r="A45" s="29" t="s">
        <v>45</v>
      </c>
      <c r="B45" s="64">
        <f>(C43-C36)</f>
        <v>35474</v>
      </c>
      <c r="C45" s="44">
        <f>(C43-C36)/C36</f>
        <v>0.24905045739519929</v>
      </c>
      <c r="D45" s="45"/>
      <c r="Q45" s="29"/>
    </row>
    <row r="46" spans="1:17" ht="15" thickBot="1" x14ac:dyDescent="0.4">
      <c r="Q46" s="29"/>
    </row>
    <row r="47" spans="1:17" ht="15" thickBot="1" x14ac:dyDescent="0.4">
      <c r="A47" s="29" t="s">
        <v>46</v>
      </c>
      <c r="B47" s="47"/>
      <c r="C47" s="48">
        <f>G41-(G41*H19)</f>
        <v>129033.49782391195</v>
      </c>
      <c r="D47" s="35"/>
      <c r="E47" s="46"/>
    </row>
  </sheetData>
  <sheetProtection algorithmName="SHA-512" hashValue="FSImgZHbxLa93vq/I8fsj3fdvtuxnoajT5QO6pImWMysaNGtFH1NXFiq/9gqNdM+IIADhOTgndEX7/jfet9ZfA==" saltValue="gQAno6XYQFHYNd8tU9OlPQ==" spinCount="100000" sheet="1" objects="1" scenarios="1"/>
  <sortState xmlns:xlrd2="http://schemas.microsoft.com/office/spreadsheetml/2017/richdata2" ref="F38:G39">
    <sortCondition ref="F38:F39"/>
  </sortState>
  <mergeCells count="1">
    <mergeCell ref="A2:C2"/>
  </mergeCells>
  <dataValidations count="3">
    <dataValidation type="list" allowBlank="1" showInputMessage="1" showErrorMessage="1" sqref="B26" xr:uid="{BB1E9CF4-9FEB-4667-A968-BDCDE6B981B4}">
      <formula1>$F$6:$F$9</formula1>
    </dataValidation>
    <dataValidation type="list" allowBlank="1" showInputMessage="1" showErrorMessage="1" sqref="B41" xr:uid="{6089C7C9-8D8A-4AF6-B91A-E8AD270D300A}">
      <formula1>$F$34:$F$35</formula1>
    </dataValidation>
    <dataValidation type="list" allowBlank="1" showInputMessage="1" showErrorMessage="1" sqref="C29 C4:C6" xr:uid="{08826C8F-2815-4A81-BDB5-E28125B458A3}">
      <formula1>$J$5:$J$6</formula1>
    </dataValidation>
  </dataValidations>
  <pageMargins left="0.75" right="0.25" top="0.75" bottom="0.25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07C6-00D7-490C-917D-4BE7DDA4A7A0}">
  <sheetPr>
    <pageSetUpPr fitToPage="1"/>
  </sheetPr>
  <dimension ref="A1:H33"/>
  <sheetViews>
    <sheetView showGridLines="0" workbookViewId="0">
      <selection activeCell="D17" sqref="D17"/>
    </sheetView>
  </sheetViews>
  <sheetFormatPr defaultRowHeight="14.5" x14ac:dyDescent="0.35"/>
  <cols>
    <col min="1" max="1" width="36.1796875" customWidth="1"/>
    <col min="2" max="2" width="17.54296875" customWidth="1"/>
    <col min="3" max="3" width="17.54296875" style="2" bestFit="1" customWidth="1"/>
    <col min="4" max="4" width="17.1796875" style="22" customWidth="1"/>
    <col min="5" max="5" width="5.453125" customWidth="1"/>
    <col min="6" max="6" width="19.54296875" customWidth="1"/>
    <col min="7" max="7" width="13" customWidth="1"/>
    <col min="8" max="8" width="13" bestFit="1" customWidth="1"/>
  </cols>
  <sheetData>
    <row r="1" spans="1:8" ht="21" x14ac:dyDescent="0.5">
      <c r="A1" s="11" t="s">
        <v>0</v>
      </c>
      <c r="F1">
        <v>123456</v>
      </c>
    </row>
    <row r="2" spans="1:8" x14ac:dyDescent="0.35">
      <c r="A2" t="s">
        <v>1</v>
      </c>
      <c r="C2" s="2">
        <v>140000</v>
      </c>
    </row>
    <row r="4" spans="1:8" ht="15" thickBot="1" x14ac:dyDescent="0.4">
      <c r="F4" s="13"/>
      <c r="G4" s="14" t="s">
        <v>5</v>
      </c>
      <c r="H4" s="21" t="s">
        <v>6</v>
      </c>
    </row>
    <row r="5" spans="1:8" ht="15" thickBot="1" x14ac:dyDescent="0.4">
      <c r="A5" t="s">
        <v>9</v>
      </c>
      <c r="C5" s="4">
        <v>325000</v>
      </c>
      <c r="D5" s="50"/>
      <c r="F5" s="13" t="s">
        <v>8</v>
      </c>
      <c r="G5" s="15">
        <v>2000</v>
      </c>
      <c r="H5" s="16">
        <f>B18/C5</f>
        <v>0</v>
      </c>
    </row>
    <row r="6" spans="1:8" ht="15" thickBot="1" x14ac:dyDescent="0.4">
      <c r="F6" s="13" t="s">
        <v>10</v>
      </c>
      <c r="G6" s="13">
        <v>10</v>
      </c>
      <c r="H6" s="17">
        <v>0.04</v>
      </c>
    </row>
    <row r="7" spans="1:8" ht="19" thickBot="1" x14ac:dyDescent="0.5">
      <c r="A7" t="s">
        <v>47</v>
      </c>
      <c r="C7" s="7">
        <v>140000</v>
      </c>
      <c r="D7" s="24"/>
      <c r="F7" s="13" t="s">
        <v>11</v>
      </c>
      <c r="G7" s="13">
        <v>20</v>
      </c>
      <c r="H7" s="17">
        <v>4.4999999999999998E-2</v>
      </c>
    </row>
    <row r="8" spans="1:8" ht="15" thickBot="1" x14ac:dyDescent="0.4">
      <c r="F8" s="13" t="s">
        <v>13</v>
      </c>
      <c r="G8" s="13">
        <v>30</v>
      </c>
      <c r="H8" s="17">
        <v>5.5E-2</v>
      </c>
    </row>
    <row r="9" spans="1:8" ht="15" thickBot="1" x14ac:dyDescent="0.4">
      <c r="A9" t="s">
        <v>19</v>
      </c>
      <c r="B9" s="8">
        <v>0</v>
      </c>
      <c r="C9" s="2">
        <f>B9*C7</f>
        <v>0</v>
      </c>
      <c r="F9" t="s">
        <v>14</v>
      </c>
    </row>
    <row r="10" spans="1:8" ht="15" thickBot="1" x14ac:dyDescent="0.4"/>
    <row r="11" spans="1:8" ht="15" thickBot="1" x14ac:dyDescent="0.4">
      <c r="A11" t="s">
        <v>24</v>
      </c>
      <c r="C11" s="4">
        <v>12500</v>
      </c>
      <c r="D11" s="23"/>
    </row>
    <row r="12" spans="1:8" x14ac:dyDescent="0.35">
      <c r="G12" s="18" t="s">
        <v>6</v>
      </c>
      <c r="H12" s="18" t="s">
        <v>18</v>
      </c>
    </row>
    <row r="13" spans="1:8" x14ac:dyDescent="0.35">
      <c r="A13" t="s">
        <v>25</v>
      </c>
      <c r="C13" s="2">
        <f>SUM(C7+C9+C11)</f>
        <v>152500</v>
      </c>
      <c r="F13" s="13" t="s">
        <v>20</v>
      </c>
      <c r="G13" s="19">
        <f>(C9+C11)/C5</f>
        <v>3.8461538461538464E-2</v>
      </c>
      <c r="H13" s="20">
        <f>G13/2</f>
        <v>1.9230769230769232E-2</v>
      </c>
    </row>
    <row r="14" spans="1:8" ht="15" thickBot="1" x14ac:dyDescent="0.4">
      <c r="F14" s="13" t="s">
        <v>21</v>
      </c>
      <c r="G14" s="19">
        <f>C17/C5</f>
        <v>9.7846153846153847E-2</v>
      </c>
      <c r="H14" s="16">
        <f>VLOOKUP(B17,F5:H8,3)</f>
        <v>4.4999999999999998E-2</v>
      </c>
    </row>
    <row r="15" spans="1:8" ht="15" thickBot="1" x14ac:dyDescent="0.4">
      <c r="A15" t="s">
        <v>26</v>
      </c>
      <c r="C15" s="4">
        <v>1590</v>
      </c>
      <c r="D15" s="23"/>
      <c r="F15" s="13" t="s">
        <v>23</v>
      </c>
      <c r="G15" s="19">
        <f>C25/C5</f>
        <v>0</v>
      </c>
      <c r="H15" s="19">
        <v>0.17</v>
      </c>
    </row>
    <row r="16" spans="1:8" ht="15" thickBot="1" x14ac:dyDescent="0.4">
      <c r="F16" s="13"/>
      <c r="G16" s="20">
        <f>SUM(G13:G15)</f>
        <v>0.1363076923076923</v>
      </c>
      <c r="H16" s="20">
        <f>SUM(H13:H15)</f>
        <v>0.23423076923076924</v>
      </c>
    </row>
    <row r="17" spans="1:8" ht="15" thickBot="1" x14ac:dyDescent="0.4">
      <c r="A17" t="s">
        <v>27</v>
      </c>
      <c r="B17" s="5" t="s">
        <v>11</v>
      </c>
      <c r="C17" s="2">
        <f>IF(B18&gt;0,B18,VLOOKUP(B17,F5:H8,2)*C15)</f>
        <v>31800</v>
      </c>
    </row>
    <row r="18" spans="1:8" ht="15" thickBot="1" x14ac:dyDescent="0.4">
      <c r="A18" t="s">
        <v>28</v>
      </c>
      <c r="B18" s="6"/>
    </row>
    <row r="20" spans="1:8" x14ac:dyDescent="0.35">
      <c r="A20" t="s">
        <v>38</v>
      </c>
      <c r="C20" s="2">
        <f>C13+C17</f>
        <v>184300</v>
      </c>
    </row>
    <row r="22" spans="1:8" ht="15" thickBot="1" x14ac:dyDescent="0.4">
      <c r="B22" t="s">
        <v>39</v>
      </c>
      <c r="C22" s="2" t="s">
        <v>40</v>
      </c>
    </row>
    <row r="23" spans="1:8" ht="15" thickBot="1" x14ac:dyDescent="0.4">
      <c r="A23" t="s">
        <v>41</v>
      </c>
      <c r="B23" s="6"/>
      <c r="C23" s="2">
        <f>C5</f>
        <v>325000</v>
      </c>
      <c r="F23" t="s">
        <v>33</v>
      </c>
      <c r="G23" t="s">
        <v>34</v>
      </c>
    </row>
    <row r="24" spans="1:8" ht="15" thickBot="1" x14ac:dyDescent="0.4">
      <c r="F24" t="s">
        <v>36</v>
      </c>
      <c r="G24" s="27">
        <v>0.09</v>
      </c>
    </row>
    <row r="25" spans="1:8" ht="15" thickBot="1" x14ac:dyDescent="0.4">
      <c r="A25" t="s">
        <v>42</v>
      </c>
      <c r="B25" s="28" t="s">
        <v>37</v>
      </c>
      <c r="C25" s="1"/>
      <c r="F25" t="s">
        <v>37</v>
      </c>
      <c r="G25" s="27">
        <v>0.11</v>
      </c>
    </row>
    <row r="27" spans="1:8" x14ac:dyDescent="0.35">
      <c r="A27" t="s">
        <v>48</v>
      </c>
      <c r="C27" s="2">
        <f>C23-C25</f>
        <v>325000</v>
      </c>
    </row>
    <row r="29" spans="1:8" x14ac:dyDescent="0.35">
      <c r="A29" t="s">
        <v>45</v>
      </c>
      <c r="C29" s="3">
        <f>(C27-C20)/C20</f>
        <v>0.7634291915355399</v>
      </c>
      <c r="D29" s="25"/>
    </row>
    <row r="30" spans="1:8" ht="15" thickBot="1" x14ac:dyDescent="0.4">
      <c r="F30" s="10"/>
    </row>
    <row r="31" spans="1:8" ht="15" thickBot="1" x14ac:dyDescent="0.4">
      <c r="A31" t="s">
        <v>46</v>
      </c>
      <c r="B31" s="12"/>
      <c r="C31" s="9">
        <f>G31-(G31*H16)</f>
        <v>214951.42307692306</v>
      </c>
      <c r="D31" s="26"/>
      <c r="E31" s="10"/>
      <c r="F31" s="10"/>
      <c r="G31" s="10">
        <f>C5-(C9+C11+C17+C25)</f>
        <v>280700</v>
      </c>
      <c r="H31" s="10" t="s">
        <v>43</v>
      </c>
    </row>
    <row r="32" spans="1:8" x14ac:dyDescent="0.35">
      <c r="F32" s="10"/>
      <c r="G32" s="10"/>
    </row>
    <row r="33" spans="6:6" x14ac:dyDescent="0.35">
      <c r="F33" s="10"/>
    </row>
  </sheetData>
  <dataValidations count="2">
    <dataValidation type="list" allowBlank="1" showInputMessage="1" showErrorMessage="1" sqref="B25" xr:uid="{077EAE77-ED50-4481-B9F4-3025ED9C5A4F}">
      <formula1>$F$24:$F$25</formula1>
    </dataValidation>
    <dataValidation type="list" allowBlank="1" showInputMessage="1" showErrorMessage="1" sqref="B17" xr:uid="{5A2259E7-32FC-41E5-AC61-430B6EDA0231}">
      <formula1>$F$5:$F$8</formula1>
    </dataValidation>
  </dataValidation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D74D428B668943885414B7B6D310E8" ma:contentTypeVersion="12" ma:contentTypeDescription="Create a new document." ma:contentTypeScope="" ma:versionID="ef0b04081ba3ffb8cc96b43d24275bfd">
  <xsd:schema xmlns:xsd="http://www.w3.org/2001/XMLSchema" xmlns:xs="http://www.w3.org/2001/XMLSchema" xmlns:p="http://schemas.microsoft.com/office/2006/metadata/properties" xmlns:ns2="0b2613f2-8776-4a9e-870b-77ba44bbd879" xmlns:ns3="7d76efd3-b6d4-4538-aa32-f0df69ba153c" targetNamespace="http://schemas.microsoft.com/office/2006/metadata/properties" ma:root="true" ma:fieldsID="fc155448a0492767ba5b2c8b6df700d7" ns2:_="" ns3:_="">
    <xsd:import namespace="0b2613f2-8776-4a9e-870b-77ba44bbd879"/>
    <xsd:import namespace="7d76efd3-b6d4-4538-aa32-f0df69ba15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613f2-8776-4a9e-870b-77ba44bbd8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6efd3-b6d4-4538-aa32-f0df69ba15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C7D9F-AA6D-416D-8463-A4BD4A0D5A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AAA485-D6AE-4084-8E26-CC7A17661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CBAD49-6E8A-4045-B34A-76D2D50AD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613f2-8776-4a9e-870b-77ba44bbd879"/>
    <ds:schemaRef ds:uri="7d76efd3-b6d4-4538-aa32-f0df69ba1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Jaclyn Olsen</dc:creator>
  <cp:keywords/>
  <dc:description/>
  <cp:lastModifiedBy>Michelle Mendez</cp:lastModifiedBy>
  <cp:revision/>
  <cp:lastPrinted>2021-01-21T21:25:54Z</cp:lastPrinted>
  <dcterms:created xsi:type="dcterms:W3CDTF">2020-08-25T17:31:52Z</dcterms:created>
  <dcterms:modified xsi:type="dcterms:W3CDTF">2021-01-28T16:29:24Z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0x0101001ED74D428B668943885414B7B6D310E8</vt:lpwstr>
  </property>
</Properties>
</file>